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6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<sst xmlns="http://schemas.openxmlformats.org/spreadsheetml/2006/main" count="91" uniqueCount="68">
  <si>
    <t>SSA Stylized Earner, Retiring at 66 in 2016</t>
  </si>
  <si>
    <t>Very low</t>
  </si>
  <si>
    <t>Low</t>
  </si>
  <si>
    <t>Medium</t>
  </si>
  <si>
    <t>High</t>
  </si>
  <si>
    <t>Max</t>
  </si>
  <si>
    <t>Earnings at age 65</t>
  </si>
  <si>
    <t>Social Security Benefit at age 66</t>
  </si>
  <si>
    <t>Target retirement savings wealth: 11.5 times final salary</t>
  </si>
  <si>
    <t>Annual payment from savings</t>
  </si>
  <si>
    <t>Total retirement income</t>
  </si>
  <si>
    <t>Higher income</t>
  </si>
  <si>
    <t>Percent of workers at  earnings level</t>
  </si>
  <si>
    <t>top 8%?</t>
  </si>
  <si>
    <t>top 1%?</t>
  </si>
  <si>
    <t>top 5%</t>
  </si>
  <si>
    <t>top 3%?</t>
  </si>
  <si>
    <t>per article</t>
  </si>
  <si>
    <t>per CNN</t>
  </si>
  <si>
    <t>household</t>
  </si>
  <si>
    <t>SINGLE</t>
  </si>
  <si>
    <t>Married assuming SS at 150%</t>
  </si>
  <si>
    <t>Coverage %</t>
  </si>
  <si>
    <t>Earnings before regtirment</t>
  </si>
  <si>
    <t>Last year working</t>
  </si>
  <si>
    <t>Pension payment</t>
  </si>
  <si>
    <t>Pension needed to obtain 80%</t>
  </si>
  <si>
    <t>Savings needed to obtain 80%</t>
  </si>
  <si>
    <t>Either increase your savings to a total of:</t>
  </si>
  <si>
    <t>Or work longer to increase your pension to:</t>
  </si>
  <si>
    <t>Projected retirment savings</t>
  </si>
  <si>
    <t>Social Security Benefit at retirement</t>
  </si>
  <si>
    <t>Retirement Income Replacement Rates for SSA Stylized Earners Using Aon-Hewitt Retirement Saving Rule - women</t>
  </si>
  <si>
    <t>Alternative ways to achieve 80% income in retirement</t>
  </si>
  <si>
    <t>Current projected savings</t>
  </si>
  <si>
    <t xml:space="preserve">Amount needed to achieve % </t>
  </si>
  <si>
    <t xml:space="preserve">Current pension </t>
  </si>
  <si>
    <t xml:space="preserve">Amount of pension needed </t>
  </si>
  <si>
    <t>Increase needed (over)</t>
  </si>
  <si>
    <t>Min coverage %</t>
  </si>
  <si>
    <t>Data Input area:</t>
  </si>
  <si>
    <t>Expected pension</t>
  </si>
  <si>
    <t>Total projected savings @ retirement</t>
  </si>
  <si>
    <t>Expected Social Security Benefits</t>
  </si>
  <si>
    <t>INPUT AREA</t>
  </si>
  <si>
    <t>Projection with current assumptions</t>
  </si>
  <si>
    <t>Minumum Needed</t>
  </si>
  <si>
    <t>Current projection</t>
  </si>
  <si>
    <t>Amount needed:</t>
  </si>
  <si>
    <t>Current income</t>
  </si>
  <si>
    <t>Less: Pension</t>
  </si>
  <si>
    <t>Less: Social Security</t>
  </si>
  <si>
    <t>Additional annual income needed</t>
  </si>
  <si>
    <t>Under required</t>
  </si>
  <si>
    <t>Percentage needed</t>
  </si>
  <si>
    <t>Income needed for retirement</t>
  </si>
  <si>
    <t>Less: Savings * 5.4%</t>
  </si>
  <si>
    <t>Extra income</t>
  </si>
  <si>
    <t>Projected income</t>
  </si>
  <si>
    <t xml:space="preserve">Retirement </t>
  </si>
  <si>
    <t>Final year projected income</t>
  </si>
  <si>
    <t>Shortage</t>
  </si>
  <si>
    <t>How to increase your retirement income:</t>
  </si>
  <si>
    <t>CHANGE THE NUMBERS IN RED</t>
  </si>
  <si>
    <t>Minimum income coverage needed</t>
  </si>
  <si>
    <t>How to get your retirment - given your currerent numbers</t>
  </si>
  <si>
    <t>Required %</t>
  </si>
  <si>
    <t>% needed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</si>
</sst>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</numFmts>
  <fonts count="6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u val="single"/>
      <sz val="12"/>
      <color indexed="8"/>
      <name val="Calibri"/>
      <family val="0"/>
    </font>
    <font>
      <u val="single"/>
      <sz val="12"/>
      <color indexed="8"/>
      <name val="Calibri"/>
      <family val="0"/>
    </font>
    <font>
      <b/>
      <u val="single"/>
      <sz val="12"/>
      <color indexed="62"/>
      <name val="Calibri"/>
      <family val="0"/>
    </font>
    <font>
      <b/>
      <sz val="12"/>
      <color indexed="62"/>
      <name val="Calibri"/>
      <family val="0"/>
    </font>
    <font>
      <b/>
      <sz val="14"/>
      <color indexed="10"/>
      <name val="Calibri"/>
      <family val="0"/>
    </font>
    <font>
      <b/>
      <u val="single"/>
      <sz val="14"/>
      <name val="Calibri"/>
      <family val="0"/>
    </font>
    <font>
      <sz val="12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b/>
      <u val="single"/>
      <sz val="14"/>
      <color indexed="8"/>
      <name val="Calibri"/>
      <family val="0"/>
    </font>
    <font>
      <sz val="14"/>
      <name val="Calibri"/>
      <family val="0"/>
    </font>
    <font>
      <b/>
      <u val="doubleAccounting"/>
      <sz val="12"/>
      <color indexed="8"/>
      <name val="Calibri"/>
      <family val="0"/>
    </font>
    <font>
      <u val="single"/>
      <sz val="14"/>
      <color indexed="8"/>
      <name val="Calibri"/>
      <family val="0"/>
    </font>
    <font>
      <u val="doubleAccounting"/>
      <sz val="14"/>
      <color indexed="8"/>
      <name val="Calibri"/>
      <family val="0"/>
    </font>
    <font>
      <sz val="22"/>
      <color indexed="10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2"/>
      <color theme="1"/>
      <name val="Calibri"/>
      <family val="0"/>
    </font>
    <font>
      <u val="single"/>
      <sz val="12"/>
      <color theme="1"/>
      <name val="Calibri"/>
      <family val="0"/>
    </font>
    <font>
      <b/>
      <u val="single"/>
      <sz val="12"/>
      <color theme="4"/>
      <name val="Calibri"/>
      <family val="0"/>
    </font>
    <font>
      <b/>
      <sz val="12"/>
      <color theme="4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b/>
      <u val="single"/>
      <sz val="14"/>
      <color theme="1"/>
      <name val="Calibri"/>
      <family val="0"/>
    </font>
    <font>
      <u val="doubleAccounting"/>
      <sz val="14"/>
      <color theme="1"/>
      <name val="Calibri"/>
      <family val="0"/>
    </font>
    <font>
      <b/>
      <sz val="14"/>
      <color rgb="FFFF0000"/>
      <name val="Calibri"/>
      <family val="0"/>
    </font>
    <font>
      <u val="single"/>
      <sz val="14"/>
      <color theme="1"/>
      <name val="Calibri"/>
      <family val="0"/>
    </font>
    <font>
      <b/>
      <u val="doubleAccounting"/>
      <sz val="12"/>
      <color theme="1"/>
      <name val="Calibri"/>
      <family val="0"/>
    </font>
    <font>
      <sz val="22"/>
      <color rgb="FFFF00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0E6DF"/>
        <bgColor indexed="64"/>
      </patternFill>
    </fill>
    <fill>
      <patternFill patternType="solid">
        <fgColor rgb="FFD1B5C9"/>
        <bgColor indexed="64"/>
      </patternFill>
    </fill>
    <fill>
      <patternFill patternType="solid">
        <fgColor rgb="FFD3D6B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wrapText="1"/>
    </xf>
    <xf numFmtId="9" fontId="0" fillId="0" borderId="0" xfId="57" applyFont="1" applyAlignment="1">
      <alignment/>
    </xf>
    <xf numFmtId="165" fontId="0" fillId="0" borderId="0" xfId="0" applyNumberFormat="1" applyAlignment="1">
      <alignment/>
    </xf>
    <xf numFmtId="6" fontId="0" fillId="33" borderId="10" xfId="0" applyNumberFormat="1" applyFill="1" applyBorder="1" applyAlignment="1">
      <alignment/>
    </xf>
    <xf numFmtId="165" fontId="0" fillId="33" borderId="10" xfId="0" applyNumberFormat="1" applyFill="1" applyBorder="1" applyAlignment="1">
      <alignment/>
    </xf>
    <xf numFmtId="10" fontId="51" fillId="0" borderId="0" xfId="0" applyNumberFormat="1" applyFont="1" applyAlignment="1">
      <alignment horizontal="center"/>
    </xf>
    <xf numFmtId="165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166" fontId="0" fillId="0" borderId="0" xfId="42" applyNumberFormat="1" applyFont="1" applyAlignment="1">
      <alignment/>
    </xf>
    <xf numFmtId="0" fontId="51" fillId="0" borderId="0" xfId="0" applyFont="1" applyAlignment="1">
      <alignment/>
    </xf>
    <xf numFmtId="165" fontId="52" fillId="0" borderId="0" xfId="0" applyNumberFormat="1" applyFont="1" applyAlignment="1">
      <alignment/>
    </xf>
    <xf numFmtId="165" fontId="53" fillId="0" borderId="10" xfId="0" applyNumberFormat="1" applyFont="1" applyBorder="1" applyAlignment="1">
      <alignment/>
    </xf>
    <xf numFmtId="165" fontId="54" fillId="0" borderId="10" xfId="0" applyNumberFormat="1" applyFont="1" applyBorder="1" applyAlignment="1">
      <alignment/>
    </xf>
    <xf numFmtId="0" fontId="51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/>
    </xf>
    <xf numFmtId="165" fontId="15" fillId="0" borderId="0" xfId="42" applyNumberFormat="1" applyFont="1" applyAlignment="1">
      <alignment/>
    </xf>
    <xf numFmtId="165" fontId="15" fillId="0" borderId="0" xfId="0" applyNumberFormat="1" applyFont="1" applyAlignment="1">
      <alignment/>
    </xf>
    <xf numFmtId="165" fontId="55" fillId="0" borderId="0" xfId="42" applyNumberFormat="1" applyFont="1" applyAlignment="1">
      <alignment/>
    </xf>
    <xf numFmtId="166" fontId="55" fillId="0" borderId="0" xfId="42" applyNumberFormat="1" applyFont="1" applyAlignment="1">
      <alignment/>
    </xf>
    <xf numFmtId="9" fontId="55" fillId="0" borderId="0" xfId="57" applyFont="1" applyAlignment="1">
      <alignment/>
    </xf>
    <xf numFmtId="165" fontId="55" fillId="0" borderId="0" xfId="0" applyNumberFormat="1" applyFont="1" applyAlignment="1">
      <alignment/>
    </xf>
    <xf numFmtId="9" fontId="52" fillId="0" borderId="0" xfId="57" applyFont="1" applyAlignment="1">
      <alignment/>
    </xf>
    <xf numFmtId="9" fontId="11" fillId="0" borderId="0" xfId="57" applyFont="1" applyAlignment="1">
      <alignment/>
    </xf>
    <xf numFmtId="0" fontId="56" fillId="0" borderId="10" xfId="0" applyFont="1" applyBorder="1" applyAlignment="1">
      <alignment wrapText="1"/>
    </xf>
    <xf numFmtId="165" fontId="51" fillId="0" borderId="0" xfId="0" applyNumberFormat="1" applyFont="1" applyAlignment="1">
      <alignment horizontal="center"/>
    </xf>
    <xf numFmtId="164" fontId="58" fillId="0" borderId="0" xfId="0" applyNumberFormat="1" applyFont="1" applyAlignment="1">
      <alignment/>
    </xf>
    <xf numFmtId="165" fontId="59" fillId="34" borderId="10" xfId="42" applyNumberFormat="1" applyFont="1" applyFill="1" applyBorder="1" applyAlignment="1">
      <alignment/>
    </xf>
    <xf numFmtId="9" fontId="59" fillId="34" borderId="10" xfId="42" applyNumberFormat="1" applyFont="1" applyFill="1" applyBorder="1" applyAlignment="1">
      <alignment/>
    </xf>
    <xf numFmtId="165" fontId="60" fillId="35" borderId="0" xfId="0" applyNumberFormat="1" applyFont="1" applyFill="1" applyAlignment="1">
      <alignment/>
    </xf>
    <xf numFmtId="165" fontId="55" fillId="36" borderId="0" xfId="0" applyNumberFormat="1" applyFont="1" applyFill="1" applyAlignment="1">
      <alignment/>
    </xf>
    <xf numFmtId="165" fontId="58" fillId="36" borderId="0" xfId="0" applyNumberFormat="1" applyFont="1" applyFill="1" applyAlignment="1">
      <alignment/>
    </xf>
    <xf numFmtId="165" fontId="61" fillId="36" borderId="0" xfId="0" applyNumberFormat="1" applyFont="1" applyFill="1" applyAlignment="1">
      <alignment/>
    </xf>
    <xf numFmtId="166" fontId="55" fillId="36" borderId="0" xfId="42" applyNumberFormat="1" applyFont="1" applyFill="1" applyAlignment="1">
      <alignment/>
    </xf>
    <xf numFmtId="165" fontId="51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62" fillId="0" borderId="0" xfId="0" applyFont="1" applyAlignment="1">
      <alignment/>
    </xf>
    <xf numFmtId="9" fontId="51" fillId="0" borderId="0" xfId="57" applyFont="1" applyAlignment="1">
      <alignment/>
    </xf>
    <xf numFmtId="165" fontId="49" fillId="0" borderId="0" xfId="0" applyNumberFormat="1" applyFont="1" applyAlignment="1">
      <alignment/>
    </xf>
    <xf numFmtId="165" fontId="49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D3" sqref="D3"/>
    </sheetView>
  </sheetViews>
  <sheetFormatPr defaultColWidth="14.375" defaultRowHeight="15.75"/>
  <cols>
    <col min="1" max="1" width="24.375" style="0" customWidth="1"/>
    <col min="2" max="2" width="17.125" style="0" customWidth="1"/>
    <col min="3" max="3" width="14.375" style="0" customWidth="1"/>
    <col min="4" max="5" width="15.625" style="0" customWidth="1"/>
  </cols>
  <sheetData>
    <row r="1" spans="1:2" ht="18">
      <c r="A1" s="20" t="s">
        <v>40</v>
      </c>
      <c r="B1" s="17" t="s">
        <v>44</v>
      </c>
    </row>
    <row r="2" spans="1:4" ht="37.5">
      <c r="A2" s="31" t="s">
        <v>60</v>
      </c>
      <c r="B2" s="34">
        <v>90000</v>
      </c>
      <c r="D2" s="45" t="s">
        <v>63</v>
      </c>
    </row>
    <row r="3" spans="1:2" ht="18">
      <c r="A3" s="31" t="s">
        <v>41</v>
      </c>
      <c r="B3" s="34">
        <v>40000</v>
      </c>
    </row>
    <row r="4" spans="1:2" ht="36.75" customHeight="1">
      <c r="A4" s="31" t="s">
        <v>42</v>
      </c>
      <c r="B4" s="34">
        <v>150000</v>
      </c>
    </row>
    <row r="5" spans="1:2" ht="36">
      <c r="A5" s="31" t="s">
        <v>43</v>
      </c>
      <c r="B5" s="34">
        <v>25000</v>
      </c>
    </row>
    <row r="6" spans="1:2" ht="36" customHeight="1">
      <c r="A6" s="31" t="s">
        <v>64</v>
      </c>
      <c r="B6" s="35">
        <v>0.9</v>
      </c>
    </row>
    <row r="8" spans="1:3" ht="15" customHeight="1">
      <c r="A8" s="13" t="s">
        <v>65</v>
      </c>
      <c r="C8" s="5"/>
    </row>
    <row r="9" spans="1:5" ht="15" customHeight="1">
      <c r="A9" s="13"/>
      <c r="C9" s="5"/>
      <c r="D9" s="41"/>
      <c r="E9" s="41"/>
    </row>
    <row r="10" spans="1:5" ht="15" customHeight="1">
      <c r="A10" s="17" t="s">
        <v>59</v>
      </c>
      <c r="C10" s="5"/>
      <c r="D10" s="41"/>
      <c r="E10" s="41"/>
    </row>
    <row r="11" spans="1:5" ht="15" customHeight="1">
      <c r="A11" s="48" t="s">
        <v>58</v>
      </c>
      <c r="B11" s="47">
        <f>SUM(C20:C22)*-1</f>
        <v>73100</v>
      </c>
      <c r="C11" s="5"/>
      <c r="D11" s="41"/>
      <c r="E11" s="41"/>
    </row>
    <row r="12" spans="1:5" ht="15" customHeight="1">
      <c r="A12" s="32" t="s">
        <v>67</v>
      </c>
      <c r="B12" s="46">
        <f>+B6</f>
        <v>0.9</v>
      </c>
      <c r="C12" s="5"/>
      <c r="D12" s="41"/>
      <c r="E12" s="41"/>
    </row>
    <row r="13" spans="1:5" ht="15" customHeight="1">
      <c r="A13" s="42" t="s">
        <v>66</v>
      </c>
      <c r="B13" s="5">
        <f>+C19</f>
        <v>81000</v>
      </c>
      <c r="D13" s="41"/>
      <c r="E13" s="41"/>
    </row>
    <row r="14" spans="1:5" ht="15" customHeight="1">
      <c r="A14" s="17" t="s">
        <v>61</v>
      </c>
      <c r="B14" s="9">
        <f>IF(B13&gt;B11,B13-B11,"no shortage")</f>
        <v>7900</v>
      </c>
      <c r="C14" s="5"/>
      <c r="D14" s="41"/>
      <c r="E14" s="41"/>
    </row>
    <row r="15" spans="1:5" ht="15" customHeight="1">
      <c r="A15" s="13"/>
      <c r="C15" s="5"/>
      <c r="D15" s="41"/>
      <c r="E15" s="41"/>
    </row>
    <row r="16" spans="1:5" ht="15">
      <c r="A16" s="13" t="s">
        <v>47</v>
      </c>
      <c r="B16" t="s">
        <v>48</v>
      </c>
      <c r="C16" s="5"/>
      <c r="D16" s="5"/>
      <c r="E16" s="5"/>
    </row>
    <row r="17" spans="2:5" ht="15" customHeight="1">
      <c r="B17" t="s">
        <v>49</v>
      </c>
      <c r="C17" s="5">
        <f>+B2</f>
        <v>90000</v>
      </c>
      <c r="D17" s="5"/>
      <c r="E17" s="5"/>
    </row>
    <row r="18" spans="2:5" ht="15">
      <c r="B18" t="s">
        <v>54</v>
      </c>
      <c r="C18" s="29">
        <f>+B6</f>
        <v>0.9</v>
      </c>
      <c r="D18" s="5"/>
      <c r="E18" s="5"/>
    </row>
    <row r="19" spans="2:5" ht="30" customHeight="1">
      <c r="B19" s="3" t="s">
        <v>55</v>
      </c>
      <c r="C19" s="5">
        <f>+C17*C18</f>
        <v>81000</v>
      </c>
      <c r="D19" s="5"/>
      <c r="E19" s="5"/>
    </row>
    <row r="20" spans="2:5" ht="15">
      <c r="B20" t="s">
        <v>50</v>
      </c>
      <c r="C20" s="5">
        <f>-B3</f>
        <v>-40000</v>
      </c>
      <c r="D20" s="5"/>
      <c r="E20" s="5"/>
    </row>
    <row r="21" spans="2:5" ht="15" customHeight="1">
      <c r="B21" t="s">
        <v>51</v>
      </c>
      <c r="C21" s="5">
        <f>-B5</f>
        <v>-25000</v>
      </c>
      <c r="D21" s="5"/>
      <c r="E21" s="5"/>
    </row>
    <row r="22" spans="2:5" ht="15">
      <c r="B22" t="s">
        <v>56</v>
      </c>
      <c r="C22" s="14">
        <f>+B4*0.054*-1</f>
        <v>-8100</v>
      </c>
      <c r="D22" s="5"/>
      <c r="E22" s="5"/>
    </row>
    <row r="23" spans="2:5" ht="30">
      <c r="B23" s="43" t="s">
        <v>52</v>
      </c>
      <c r="C23" s="39">
        <f>IF(SUM(C19:C22)&gt;0,SUM(C19:C22),"Enough income exists to achieve goal")</f>
        <v>7900</v>
      </c>
      <c r="D23" s="5"/>
      <c r="E23" s="5"/>
    </row>
    <row r="24" spans="2:5" ht="18">
      <c r="B24" s="43"/>
      <c r="C24" s="39"/>
      <c r="D24" s="5"/>
      <c r="E24" s="5"/>
    </row>
    <row r="25" spans="1:5" ht="15">
      <c r="A25" s="44" t="s">
        <v>62</v>
      </c>
      <c r="C25" s="5"/>
      <c r="D25" s="5"/>
      <c r="E25" s="5"/>
    </row>
    <row r="26" spans="1:5" ht="15">
      <c r="A26" s="44"/>
      <c r="C26" s="5"/>
      <c r="D26" s="5"/>
      <c r="E26" s="5"/>
    </row>
    <row r="27" spans="1:5" ht="18">
      <c r="A27" s="22" t="s">
        <v>28</v>
      </c>
      <c r="B27" s="10"/>
      <c r="C27" s="5"/>
      <c r="D27" s="5"/>
      <c r="E27" s="32" t="s">
        <v>57</v>
      </c>
    </row>
    <row r="28" spans="2:5" ht="18">
      <c r="B28" s="19" t="s">
        <v>34</v>
      </c>
      <c r="C28" s="28"/>
      <c r="D28" s="28">
        <f>+E39</f>
        <v>150000</v>
      </c>
      <c r="E28" s="28"/>
    </row>
    <row r="29" spans="2:5" ht="18">
      <c r="B29" s="19" t="s">
        <v>35</v>
      </c>
      <c r="C29" s="28"/>
      <c r="D29" s="36">
        <f>+E45</f>
        <v>296296.2962962963</v>
      </c>
      <c r="E29" s="28"/>
    </row>
    <row r="30" spans="2:5" ht="21">
      <c r="B30" s="19" t="s">
        <v>38</v>
      </c>
      <c r="C30" s="28"/>
      <c r="D30" s="38">
        <f>IF(D29&gt;0,+D29-D28,"sufficient savings already exist")</f>
        <v>146296.2962962963</v>
      </c>
      <c r="E30" s="37">
        <f>+D30*0.054</f>
        <v>7900</v>
      </c>
    </row>
    <row r="31" spans="2:5" ht="21">
      <c r="B31" s="19"/>
      <c r="C31" s="28"/>
      <c r="D31" s="33"/>
      <c r="E31" s="28"/>
    </row>
    <row r="32" spans="1:5" ht="18">
      <c r="A32" s="22" t="s">
        <v>29</v>
      </c>
      <c r="B32" s="19"/>
      <c r="C32" s="28"/>
      <c r="D32" s="28"/>
      <c r="E32" s="28"/>
    </row>
    <row r="33" spans="2:5" ht="18">
      <c r="B33" s="19" t="s">
        <v>36</v>
      </c>
      <c r="C33" s="28"/>
      <c r="D33" s="28">
        <f>+D39</f>
        <v>40000</v>
      </c>
      <c r="E33" s="28"/>
    </row>
    <row r="34" spans="2:5" ht="18">
      <c r="B34" s="19" t="s">
        <v>37</v>
      </c>
      <c r="C34" s="28"/>
      <c r="D34" s="36">
        <f>+D43</f>
        <v>47900</v>
      </c>
      <c r="E34" s="28"/>
    </row>
    <row r="35" spans="2:5" ht="21">
      <c r="B35" s="19" t="s">
        <v>38</v>
      </c>
      <c r="C35" s="19"/>
      <c r="D35" s="38">
        <f>IF(D34&gt;D33,+D34-D33,"Sufficient pension payments already exist")</f>
        <v>7900</v>
      </c>
      <c r="E35" s="19"/>
    </row>
    <row r="38" spans="1:10" ht="72">
      <c r="A38" s="18" t="s">
        <v>45</v>
      </c>
      <c r="C38" s="21" t="s">
        <v>23</v>
      </c>
      <c r="D38" s="21" t="s">
        <v>25</v>
      </c>
      <c r="E38" s="21" t="s">
        <v>30</v>
      </c>
      <c r="F38" s="21" t="s">
        <v>31</v>
      </c>
      <c r="G38" s="21" t="s">
        <v>9</v>
      </c>
      <c r="H38" s="21" t="s">
        <v>10</v>
      </c>
      <c r="I38" s="21" t="s">
        <v>22</v>
      </c>
      <c r="J38" s="21" t="s">
        <v>53</v>
      </c>
    </row>
    <row r="39" spans="1:10" ht="18">
      <c r="A39" s="19" t="s">
        <v>24</v>
      </c>
      <c r="B39" s="19"/>
      <c r="C39" s="23">
        <f>+B2</f>
        <v>90000</v>
      </c>
      <c r="D39" s="24">
        <f>+B3</f>
        <v>40000</v>
      </c>
      <c r="E39" s="23">
        <f>+B4</f>
        <v>150000</v>
      </c>
      <c r="F39" s="23">
        <f>+B5</f>
        <v>25000</v>
      </c>
      <c r="G39" s="25">
        <f>+E39*5.4%</f>
        <v>8100.000000000001</v>
      </c>
      <c r="H39" s="26">
        <f>+G39+D39+F39</f>
        <v>73100</v>
      </c>
      <c r="I39" s="27">
        <f>+H39/C39</f>
        <v>0.8122222222222222</v>
      </c>
      <c r="J39" s="40">
        <f>IF(H39&lt;+B2*B6,+B2*B6-H39,"over the required amount")</f>
        <v>7900</v>
      </c>
    </row>
    <row r="40" spans="3:9" ht="15">
      <c r="C40" s="5"/>
      <c r="D40" s="5"/>
      <c r="E40" s="5"/>
      <c r="F40" s="5"/>
      <c r="G40" s="5"/>
      <c r="H40" s="12"/>
      <c r="I40" s="4"/>
    </row>
    <row r="41" spans="1:9" ht="15">
      <c r="A41" s="13" t="s">
        <v>33</v>
      </c>
      <c r="C41" s="5"/>
      <c r="D41" s="5"/>
      <c r="E41" s="5"/>
      <c r="F41" s="5"/>
      <c r="G41" s="5"/>
      <c r="H41" s="12"/>
      <c r="I41" s="4"/>
    </row>
    <row r="42" spans="3:10" ht="15">
      <c r="C42" s="5"/>
      <c r="D42" s="5"/>
      <c r="E42" s="5"/>
      <c r="F42" s="5"/>
      <c r="G42" s="5"/>
      <c r="H42" s="12"/>
      <c r="I42" s="4" t="s">
        <v>39</v>
      </c>
      <c r="J42" t="s">
        <v>46</v>
      </c>
    </row>
    <row r="43" spans="1:10" ht="15">
      <c r="A43" s="13" t="s">
        <v>26</v>
      </c>
      <c r="C43" s="5">
        <f>+C39</f>
        <v>90000</v>
      </c>
      <c r="D43" s="15">
        <f>+J43-F43-G43</f>
        <v>47900</v>
      </c>
      <c r="E43" s="5">
        <f>+E39</f>
        <v>150000</v>
      </c>
      <c r="F43" s="5">
        <f>+F39</f>
        <v>25000</v>
      </c>
      <c r="G43" s="5">
        <f>+E43*0.054</f>
        <v>8100</v>
      </c>
      <c r="H43" s="12">
        <f>+G43+D43+F43</f>
        <v>81000</v>
      </c>
      <c r="I43" s="30">
        <f>+B6</f>
        <v>0.9</v>
      </c>
      <c r="J43" s="5">
        <f>+I43*B2</f>
        <v>81000</v>
      </c>
    </row>
    <row r="44" spans="3:10" ht="15">
      <c r="C44" s="5"/>
      <c r="D44" s="5"/>
      <c r="E44" s="5"/>
      <c r="F44" s="5"/>
      <c r="G44" s="5"/>
      <c r="H44" s="12"/>
      <c r="I44" s="4"/>
      <c r="J44" s="5"/>
    </row>
    <row r="45" spans="1:10" ht="15">
      <c r="A45" s="13" t="s">
        <v>27</v>
      </c>
      <c r="C45" s="5">
        <f>+C43</f>
        <v>90000</v>
      </c>
      <c r="D45" s="5">
        <f>+D39</f>
        <v>40000</v>
      </c>
      <c r="E45" s="16">
        <f>IF(I39&lt;I43,(+J45-F45-D45)/0.054,E39)</f>
        <v>296296.2962962963</v>
      </c>
      <c r="F45" s="5">
        <f>+F43</f>
        <v>25000</v>
      </c>
      <c r="G45" s="5">
        <f>+E45*0.054</f>
        <v>16000</v>
      </c>
      <c r="H45" s="12">
        <f>+G45+D45+F45</f>
        <v>81000</v>
      </c>
      <c r="I45" s="4">
        <f>+I43</f>
        <v>0.9</v>
      </c>
      <c r="J45" s="5">
        <f>+J43</f>
        <v>81000</v>
      </c>
    </row>
    <row r="46" spans="3:9" ht="15">
      <c r="C46" s="5"/>
      <c r="D46" s="5"/>
      <c r="E46" s="5"/>
      <c r="F46" s="5"/>
      <c r="G46" s="5"/>
      <c r="H46" s="12"/>
      <c r="I46" s="4"/>
    </row>
    <row r="48" ht="15">
      <c r="A48" t="s">
        <v>32</v>
      </c>
    </row>
    <row r="49" spans="1:7" ht="15">
      <c r="A49" t="s">
        <v>20</v>
      </c>
      <c r="B49" t="s">
        <v>17</v>
      </c>
      <c r="C49" t="s">
        <v>18</v>
      </c>
      <c r="G49" s="8">
        <f>+G51/E51</f>
        <v>0.05402356884272041</v>
      </c>
    </row>
    <row r="50" spans="1:10" ht="75">
      <c r="A50" s="3" t="s">
        <v>0</v>
      </c>
      <c r="B50" s="11" t="s">
        <v>12</v>
      </c>
      <c r="C50" s="11" t="s">
        <v>19</v>
      </c>
      <c r="D50" s="11" t="s">
        <v>6</v>
      </c>
      <c r="E50" s="11" t="s">
        <v>8</v>
      </c>
      <c r="F50" s="11" t="s">
        <v>7</v>
      </c>
      <c r="G50" s="11" t="s">
        <v>9</v>
      </c>
      <c r="H50" s="11" t="s">
        <v>10</v>
      </c>
      <c r="I50" s="11" t="s">
        <v>22</v>
      </c>
      <c r="J50" s="3"/>
    </row>
    <row r="51" spans="1:9" ht="15">
      <c r="A51" t="s">
        <v>1</v>
      </c>
      <c r="B51" s="1">
        <v>0.19</v>
      </c>
      <c r="C51" s="1">
        <v>0.03</v>
      </c>
      <c r="D51" s="2">
        <v>8095</v>
      </c>
      <c r="E51" s="9">
        <v>93089</v>
      </c>
      <c r="F51" s="6">
        <v>9902</v>
      </c>
      <c r="G51" s="6">
        <v>5029</v>
      </c>
      <c r="H51" s="6">
        <v>14932</v>
      </c>
      <c r="I51" s="4">
        <f>+H51/D51</f>
        <v>1.8445954292773317</v>
      </c>
    </row>
    <row r="52" spans="1:9" ht="15">
      <c r="A52" t="s">
        <v>2</v>
      </c>
      <c r="B52" s="1">
        <v>0.225</v>
      </c>
      <c r="C52" s="1">
        <v>0.1</v>
      </c>
      <c r="D52" s="2">
        <v>14562</v>
      </c>
      <c r="E52" s="9">
        <v>167465</v>
      </c>
      <c r="F52" s="6">
        <v>12962</v>
      </c>
      <c r="G52" s="6">
        <v>9047</v>
      </c>
      <c r="H52" s="6">
        <v>22010</v>
      </c>
      <c r="I52" s="4">
        <f aca="true" t="shared" si="0" ref="I52:I59">+H52/D52</f>
        <v>1.511468204916907</v>
      </c>
    </row>
    <row r="53" spans="1:9" ht="15">
      <c r="A53" t="s">
        <v>3</v>
      </c>
      <c r="B53" s="1">
        <v>0.298</v>
      </c>
      <c r="C53" s="1">
        <v>0.29</v>
      </c>
      <c r="D53" s="2">
        <v>32370</v>
      </c>
      <c r="E53" s="9">
        <v>372260</v>
      </c>
      <c r="F53" s="6">
        <v>21354</v>
      </c>
      <c r="G53" s="6">
        <v>20111</v>
      </c>
      <c r="H53" s="6">
        <v>41465</v>
      </c>
      <c r="I53" s="4">
        <f t="shared" si="0"/>
        <v>1.2809700339820822</v>
      </c>
    </row>
    <row r="54" spans="1:9" ht="15">
      <c r="A54" t="s">
        <v>4</v>
      </c>
      <c r="B54" s="1">
        <v>0.201</v>
      </c>
      <c r="C54" s="1">
        <v>0.47</v>
      </c>
      <c r="D54" s="2">
        <v>51732</v>
      </c>
      <c r="E54" s="9">
        <v>594920</v>
      </c>
      <c r="F54" s="6">
        <v>28310</v>
      </c>
      <c r="G54" s="6">
        <v>32140</v>
      </c>
      <c r="H54" s="6">
        <v>60450</v>
      </c>
      <c r="I54" s="4">
        <f t="shared" si="0"/>
        <v>1.1685223845975412</v>
      </c>
    </row>
    <row r="55" spans="1:9" ht="15">
      <c r="A55" t="s">
        <v>5</v>
      </c>
      <c r="B55" s="1">
        <v>0.085</v>
      </c>
      <c r="C55" s="1">
        <v>0.18</v>
      </c>
      <c r="D55" s="2">
        <v>117500</v>
      </c>
      <c r="E55" s="9">
        <v>1351250</v>
      </c>
      <c r="F55" s="6">
        <v>34491</v>
      </c>
      <c r="G55" s="6">
        <v>73001</v>
      </c>
      <c r="H55" s="6">
        <v>107492</v>
      </c>
      <c r="I55" s="4">
        <f t="shared" si="0"/>
        <v>0.9148255319148936</v>
      </c>
    </row>
    <row r="56" spans="1:9" ht="15">
      <c r="A56" t="s">
        <v>11</v>
      </c>
      <c r="B56" s="10" t="s">
        <v>13</v>
      </c>
      <c r="C56" s="1">
        <v>0.06</v>
      </c>
      <c r="D56" s="2">
        <v>200000</v>
      </c>
      <c r="E56" s="9">
        <f>+D56*11.5</f>
        <v>2300000</v>
      </c>
      <c r="F56" s="6">
        <f>+F55</f>
        <v>34491</v>
      </c>
      <c r="G56" s="7">
        <f>+D56*0.621247</f>
        <v>124249.4</v>
      </c>
      <c r="H56" s="6">
        <f>+G56+F56</f>
        <v>158740.4</v>
      </c>
      <c r="I56" s="4">
        <f t="shared" si="0"/>
        <v>0.793702</v>
      </c>
    </row>
    <row r="57" spans="2:9" ht="15">
      <c r="B57" s="10" t="s">
        <v>15</v>
      </c>
      <c r="C57" s="1">
        <v>0.04</v>
      </c>
      <c r="D57" s="2">
        <v>250000</v>
      </c>
      <c r="E57" s="9">
        <f>+D57*11.5</f>
        <v>2875000</v>
      </c>
      <c r="F57" s="6">
        <f>+F56</f>
        <v>34491</v>
      </c>
      <c r="G57" s="7">
        <f>+D57*0.621247</f>
        <v>155311.75</v>
      </c>
      <c r="H57" s="6">
        <f>+G57+F57</f>
        <v>189802.75</v>
      </c>
      <c r="I57" s="4">
        <f t="shared" si="0"/>
        <v>0.759211</v>
      </c>
    </row>
    <row r="58" spans="2:9" ht="15">
      <c r="B58" s="10" t="s">
        <v>16</v>
      </c>
      <c r="C58" s="1">
        <v>0.01</v>
      </c>
      <c r="D58" s="2">
        <f>+D57+250000</f>
        <v>500000</v>
      </c>
      <c r="E58" s="9">
        <f>+D58*11.5</f>
        <v>5750000</v>
      </c>
      <c r="F58" s="6">
        <f>+F57</f>
        <v>34491</v>
      </c>
      <c r="G58" s="7">
        <f>+D58*0.621247</f>
        <v>310623.5</v>
      </c>
      <c r="H58" s="6">
        <f>+G58+F58</f>
        <v>345114.5</v>
      </c>
      <c r="I58" s="4">
        <f t="shared" si="0"/>
        <v>0.690229</v>
      </c>
    </row>
    <row r="59" spans="2:9" ht="15">
      <c r="B59" s="10" t="s">
        <v>14</v>
      </c>
      <c r="C59" s="1">
        <v>0.01</v>
      </c>
      <c r="D59" s="5">
        <f>+D58*2</f>
        <v>1000000</v>
      </c>
      <c r="E59" s="9">
        <f>+D59*11.5</f>
        <v>11500000</v>
      </c>
      <c r="F59" s="6">
        <f>+F58</f>
        <v>34491</v>
      </c>
      <c r="G59" s="7">
        <f>+D59*0.621247</f>
        <v>621247</v>
      </c>
      <c r="H59" s="6">
        <f>+G59+F59</f>
        <v>655738</v>
      </c>
      <c r="I59" s="4">
        <f t="shared" si="0"/>
        <v>0.655738</v>
      </c>
    </row>
    <row r="60" spans="4:8" ht="15">
      <c r="D60" s="5"/>
      <c r="E60" s="5"/>
      <c r="F60" s="2"/>
      <c r="G60" s="5"/>
      <c r="H60" s="2"/>
    </row>
    <row r="61" spans="1:8" ht="15">
      <c r="A61" t="s">
        <v>21</v>
      </c>
      <c r="D61" s="5"/>
      <c r="E61" s="5"/>
      <c r="F61" s="2"/>
      <c r="G61" s="5"/>
      <c r="H61" s="2"/>
    </row>
    <row r="62" spans="1:9" ht="75">
      <c r="A62" s="3" t="s">
        <v>0</v>
      </c>
      <c r="B62" s="11" t="s">
        <v>12</v>
      </c>
      <c r="C62" s="11" t="s">
        <v>19</v>
      </c>
      <c r="D62" s="11" t="s">
        <v>6</v>
      </c>
      <c r="E62" s="11" t="s">
        <v>8</v>
      </c>
      <c r="F62" s="11" t="s">
        <v>7</v>
      </c>
      <c r="G62" s="11" t="s">
        <v>9</v>
      </c>
      <c r="H62" s="11" t="s">
        <v>10</v>
      </c>
      <c r="I62" s="11" t="s">
        <v>22</v>
      </c>
    </row>
    <row r="63" spans="1:9" ht="15">
      <c r="A63" t="s">
        <v>1</v>
      </c>
      <c r="B63" s="1">
        <v>0.19</v>
      </c>
      <c r="C63" s="1">
        <v>0.03</v>
      </c>
      <c r="D63" s="2">
        <v>8095</v>
      </c>
      <c r="E63" s="9">
        <v>93089</v>
      </c>
      <c r="F63" s="6">
        <f>+F51*1.5</f>
        <v>14853</v>
      </c>
      <c r="G63" s="6">
        <v>5029</v>
      </c>
      <c r="H63" s="6">
        <f>+F63+G63</f>
        <v>19882</v>
      </c>
      <c r="I63" s="4">
        <f aca="true" t="shared" si="1" ref="I63:I71">+H63/D63</f>
        <v>2.4560840024706607</v>
      </c>
    </row>
    <row r="64" spans="1:9" ht="15">
      <c r="A64" t="s">
        <v>2</v>
      </c>
      <c r="B64" s="1">
        <v>0.225</v>
      </c>
      <c r="C64" s="1">
        <v>0.1</v>
      </c>
      <c r="D64" s="2">
        <v>14562</v>
      </c>
      <c r="E64" s="9">
        <v>167465</v>
      </c>
      <c r="F64" s="6">
        <f aca="true" t="shared" si="2" ref="F64:F71">+F52*1.5</f>
        <v>19443</v>
      </c>
      <c r="G64" s="6">
        <v>9047</v>
      </c>
      <c r="H64" s="6">
        <f aca="true" t="shared" si="3" ref="H64:H71">+F64+G64</f>
        <v>28490</v>
      </c>
      <c r="I64" s="4">
        <f t="shared" si="1"/>
        <v>1.9564620244471913</v>
      </c>
    </row>
    <row r="65" spans="1:9" ht="15">
      <c r="A65" t="s">
        <v>3</v>
      </c>
      <c r="B65" s="1">
        <v>0.298</v>
      </c>
      <c r="C65" s="1">
        <v>0.29</v>
      </c>
      <c r="D65" s="2">
        <v>32370</v>
      </c>
      <c r="E65" s="9">
        <v>372260</v>
      </c>
      <c r="F65" s="6">
        <f t="shared" si="2"/>
        <v>32031</v>
      </c>
      <c r="G65" s="6">
        <v>20111</v>
      </c>
      <c r="H65" s="6">
        <f t="shared" si="3"/>
        <v>52142</v>
      </c>
      <c r="I65" s="4">
        <f t="shared" si="1"/>
        <v>1.6108124806919988</v>
      </c>
    </row>
    <row r="66" spans="1:9" ht="15">
      <c r="A66" t="s">
        <v>4</v>
      </c>
      <c r="B66" s="1">
        <v>0.201</v>
      </c>
      <c r="C66" s="1">
        <v>0.47</v>
      </c>
      <c r="D66" s="2">
        <v>51732</v>
      </c>
      <c r="E66" s="9">
        <v>594920</v>
      </c>
      <c r="F66" s="6">
        <f t="shared" si="2"/>
        <v>42465</v>
      </c>
      <c r="G66" s="6">
        <v>32140</v>
      </c>
      <c r="H66" s="6">
        <f t="shared" si="3"/>
        <v>74605</v>
      </c>
      <c r="I66" s="4">
        <f t="shared" si="1"/>
        <v>1.4421441274259645</v>
      </c>
    </row>
    <row r="67" spans="1:9" ht="15">
      <c r="A67" t="s">
        <v>5</v>
      </c>
      <c r="B67" s="1">
        <v>0.085</v>
      </c>
      <c r="C67" s="1">
        <v>0.18</v>
      </c>
      <c r="D67" s="2">
        <v>117500</v>
      </c>
      <c r="E67" s="9">
        <v>1351250</v>
      </c>
      <c r="F67" s="6">
        <f t="shared" si="2"/>
        <v>51736.5</v>
      </c>
      <c r="G67" s="6">
        <v>73001</v>
      </c>
      <c r="H67" s="6">
        <f t="shared" si="3"/>
        <v>124737.5</v>
      </c>
      <c r="I67" s="4">
        <f t="shared" si="1"/>
        <v>1.061595744680851</v>
      </c>
    </row>
    <row r="68" spans="1:9" ht="15">
      <c r="A68" t="s">
        <v>11</v>
      </c>
      <c r="B68" s="10" t="s">
        <v>13</v>
      </c>
      <c r="C68" s="1">
        <v>0.06</v>
      </c>
      <c r="D68" s="2">
        <v>200000</v>
      </c>
      <c r="E68" s="9">
        <f>+D68*11.5</f>
        <v>2300000</v>
      </c>
      <c r="F68" s="6">
        <f t="shared" si="2"/>
        <v>51736.5</v>
      </c>
      <c r="G68" s="7">
        <f>+D68*0.621247</f>
        <v>124249.4</v>
      </c>
      <c r="H68" s="6">
        <f t="shared" si="3"/>
        <v>175985.9</v>
      </c>
      <c r="I68" s="4">
        <f t="shared" si="1"/>
        <v>0.8799294999999999</v>
      </c>
    </row>
    <row r="69" spans="2:9" ht="15">
      <c r="B69" s="10" t="s">
        <v>15</v>
      </c>
      <c r="C69" s="1">
        <v>0.04</v>
      </c>
      <c r="D69" s="2">
        <v>250000</v>
      </c>
      <c r="E69" s="9">
        <f>+D69*11.5</f>
        <v>2875000</v>
      </c>
      <c r="F69" s="6">
        <f t="shared" si="2"/>
        <v>51736.5</v>
      </c>
      <c r="G69" s="7">
        <f>+D69*0.621247</f>
        <v>155311.75</v>
      </c>
      <c r="H69" s="6">
        <f t="shared" si="3"/>
        <v>207048.25</v>
      </c>
      <c r="I69" s="4">
        <f t="shared" si="1"/>
        <v>0.828193</v>
      </c>
    </row>
    <row r="70" spans="2:9" ht="15">
      <c r="B70" s="10" t="s">
        <v>16</v>
      </c>
      <c r="C70" s="1">
        <v>0.01</v>
      </c>
      <c r="D70" s="2">
        <f>+D69+250000</f>
        <v>500000</v>
      </c>
      <c r="E70" s="9">
        <f>+D70*11.5</f>
        <v>5750000</v>
      </c>
      <c r="F70" s="6">
        <f t="shared" si="2"/>
        <v>51736.5</v>
      </c>
      <c r="G70" s="7">
        <f>+D70*0.621247</f>
        <v>310623.5</v>
      </c>
      <c r="H70" s="6">
        <f t="shared" si="3"/>
        <v>362360</v>
      </c>
      <c r="I70" s="4">
        <f t="shared" si="1"/>
        <v>0.72472</v>
      </c>
    </row>
    <row r="71" spans="2:9" ht="15">
      <c r="B71" s="10" t="s">
        <v>14</v>
      </c>
      <c r="C71" s="1">
        <v>0.01</v>
      </c>
      <c r="D71" s="5">
        <f>+D70*2</f>
        <v>1000000</v>
      </c>
      <c r="E71" s="9">
        <f>+D71*11.5</f>
        <v>11500000</v>
      </c>
      <c r="F71" s="6">
        <f t="shared" si="2"/>
        <v>51736.5</v>
      </c>
      <c r="G71" s="7">
        <f>+D71*0.621247</f>
        <v>621247</v>
      </c>
      <c r="H71" s="6">
        <f t="shared" si="3"/>
        <v>672983.5</v>
      </c>
      <c r="I71" s="4">
        <f t="shared" si="1"/>
        <v>0.6729835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Malamud</dc:creator>
  <cp:keywords/>
  <dc:description/>
  <cp:lastModifiedBy>Richard Malamud</cp:lastModifiedBy>
  <dcterms:created xsi:type="dcterms:W3CDTF">2016-07-06T18:05:50Z</dcterms:created>
  <dcterms:modified xsi:type="dcterms:W3CDTF">2016-07-27T19:09:58Z</dcterms:modified>
  <cp:category/>
  <cp:version/>
  <cp:contentType/>
  <cp:contentStatus/>
</cp:coreProperties>
</file>